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olyn Friedman\Documents\Grants\WA SG 2011\"/>
    </mc:Choice>
  </mc:AlternateContent>
  <bookViews>
    <workbookView xWindow="0" yWindow="0" windowWidth="24000" windowHeight="9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D34" i="1"/>
  <c r="D35" i="1"/>
  <c r="G24" i="1"/>
  <c r="G23" i="1"/>
  <c r="G22" i="1"/>
  <c r="J21" i="1"/>
  <c r="G21" i="1"/>
  <c r="J20" i="1"/>
  <c r="G20" i="1"/>
  <c r="J19" i="1"/>
  <c r="D19" i="1"/>
  <c r="B31" i="1" s="1"/>
  <c r="J18" i="1"/>
  <c r="D18" i="1"/>
  <c r="J17" i="1"/>
  <c r="D17" i="1"/>
  <c r="D16" i="1"/>
  <c r="J15" i="1"/>
  <c r="D15" i="1"/>
  <c r="J14" i="1"/>
  <c r="D14" i="1"/>
  <c r="J13" i="1"/>
  <c r="D13" i="1"/>
  <c r="J12" i="1"/>
  <c r="D12" i="1"/>
  <c r="D11" i="1"/>
  <c r="B12" i="1" s="1"/>
  <c r="J10" i="1"/>
  <c r="K10" i="1" s="1"/>
  <c r="K11" i="1" s="1"/>
  <c r="D10" i="1"/>
  <c r="E10" i="1" s="1"/>
  <c r="H20" i="1"/>
  <c r="K12" i="1" l="1"/>
  <c r="B26" i="1"/>
  <c r="H21" i="1"/>
  <c r="H22" i="1" s="1"/>
  <c r="H23" i="1" s="1"/>
  <c r="H24" i="1" s="1"/>
  <c r="E11" i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G35" i="1"/>
  <c r="B14" i="1"/>
  <c r="B32" i="1"/>
  <c r="K13" i="1"/>
  <c r="K14" i="1" s="1"/>
  <c r="K15" i="1" s="1"/>
  <c r="K16" i="1" s="1"/>
  <c r="K17" i="1" s="1"/>
  <c r="K18" i="1" s="1"/>
  <c r="K19" i="1" s="1"/>
  <c r="K20" i="1" s="1"/>
  <c r="K21" i="1" s="1"/>
  <c r="B13" i="1"/>
  <c r="B27" i="1"/>
  <c r="B11" i="1"/>
  <c r="B15" i="1" s="1"/>
  <c r="J35" i="1"/>
  <c r="B30" i="1"/>
  <c r="B28" i="1"/>
  <c r="B16" i="1" l="1"/>
</calcChain>
</file>

<file path=xl/comments1.xml><?xml version="1.0" encoding="utf-8"?>
<comments xmlns="http://schemas.openxmlformats.org/spreadsheetml/2006/main">
  <authors>
    <author>Reviewer 1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Reviewer 1:</t>
        </r>
        <r>
          <rPr>
            <sz val="9"/>
            <color indexed="81"/>
            <rFont val="Tahoma"/>
            <family val="2"/>
          </rPr>
          <t xml:space="preserve">
some larvae in tank…unknown amount but small amount…ie a few were in Ta bottle</t>
        </r>
      </text>
    </comment>
  </commentList>
</comments>
</file>

<file path=xl/sharedStrings.xml><?xml version="1.0" encoding="utf-8"?>
<sst xmlns="http://schemas.openxmlformats.org/spreadsheetml/2006/main" count="66" uniqueCount="58">
  <si>
    <t>Tag</t>
  </si>
  <si>
    <t>Brood #</t>
  </si>
  <si>
    <t>volume of larvae to count</t>
  </si>
  <si>
    <t>Date</t>
  </si>
  <si>
    <t>107A- B2 (400)</t>
  </si>
  <si>
    <t>Cum 400</t>
  </si>
  <si>
    <t>108A-B1 (700)</t>
  </si>
  <si>
    <t>Cum 700</t>
  </si>
  <si>
    <t>103A-B2 (1000)</t>
  </si>
  <si>
    <t>Cum 1000</t>
  </si>
  <si>
    <t>B32 E</t>
  </si>
  <si>
    <t>B59 E</t>
  </si>
  <si>
    <t>Blue E</t>
  </si>
  <si>
    <t>B32 L</t>
  </si>
  <si>
    <t>B59 L</t>
  </si>
  <si>
    <t>Blue L</t>
  </si>
  <si>
    <t>B40 E</t>
  </si>
  <si>
    <t>B56 E</t>
  </si>
  <si>
    <t>White E</t>
  </si>
  <si>
    <t>B40 L</t>
  </si>
  <si>
    <t>B56 L</t>
  </si>
  <si>
    <t>Whaite L</t>
  </si>
  <si>
    <t>W39 L</t>
  </si>
  <si>
    <t>W54 E</t>
  </si>
  <si>
    <t>BLUE</t>
  </si>
  <si>
    <t>W36 E</t>
  </si>
  <si>
    <t>W54 L</t>
  </si>
  <si>
    <t>W36 L</t>
  </si>
  <si>
    <t>W60 L</t>
  </si>
  <si>
    <t>W32 E</t>
  </si>
  <si>
    <t>W51 E</t>
  </si>
  <si>
    <t>W32 L</t>
  </si>
  <si>
    <t>W51 L</t>
  </si>
  <si>
    <t>041 L</t>
  </si>
  <si>
    <t>W52 E</t>
  </si>
  <si>
    <t>O36 TRACE</t>
  </si>
  <si>
    <t>W66 E</t>
  </si>
  <si>
    <t>W52 L</t>
  </si>
  <si>
    <t>O39 TRACE</t>
  </si>
  <si>
    <t>W64 E</t>
  </si>
  <si>
    <t>W57 L</t>
  </si>
  <si>
    <t>O40 TRACE</t>
  </si>
  <si>
    <t>O62 E</t>
  </si>
  <si>
    <t>O41 TRACE</t>
  </si>
  <si>
    <t>O65 E</t>
  </si>
  <si>
    <t>O71 E</t>
  </si>
  <si>
    <t>total</t>
  </si>
  <si>
    <t>early</t>
  </si>
  <si>
    <t>late</t>
  </si>
  <si>
    <t>tot blue</t>
  </si>
  <si>
    <t>tot orange</t>
  </si>
  <si>
    <t>tot white</t>
  </si>
  <si>
    <t># BROODING</t>
  </si>
  <si>
    <t>ROUNDS OF RELEASES</t>
  </si>
  <si>
    <t>Groups are Totten 2008 - blue tag, Totten 2009 white tag,  Hammersley Inlet 2010 orange tag, Hammersley wild yellow and green tags</t>
  </si>
  <si>
    <t>Mean fiull clutch</t>
  </si>
  <si>
    <t>Mean late stage (except trace)</t>
  </si>
  <si>
    <t>Graph of total releases from groups of 40 oysters over time at 16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</si>
</sst>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E+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4" xfId="0" applyBorder="1"/>
    <xf numFmtId="0" fontId="1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0" xfId="0" applyFont="1"/>
    <xf numFmtId="14" fontId="0" fillId="0" borderId="0" xfId="0" applyNumberFormat="1"/>
    <xf numFmtId="14" fontId="0" fillId="0" borderId="4" xfId="0" applyNumberFormat="1" applyBorder="1"/>
    <xf numFmtId="11" fontId="0" fillId="0" borderId="0" xfId="0" applyNumberFormat="1" applyBorder="1"/>
    <xf numFmtId="0" fontId="0" fillId="0" borderId="5" xfId="0" applyBorder="1"/>
    <xf numFmtId="0" fontId="0" fillId="0" borderId="0" xfId="0" applyBorder="1"/>
    <xf numFmtId="164" fontId="0" fillId="0" borderId="0" xfId="0" applyNumberFormat="1"/>
    <xf numFmtId="11" fontId="0" fillId="0" borderId="0" xfId="0" applyNumberFormat="1"/>
    <xf numFmtId="11" fontId="0" fillId="0" borderId="5" xfId="0" applyNumberFormat="1" applyBorder="1"/>
    <xf numFmtId="11" fontId="0" fillId="0" borderId="0" xfId="0" applyNumberFormat="1" applyFill="1" applyBorder="1"/>
    <xf numFmtId="11" fontId="0" fillId="0" borderId="4" xfId="0" applyNumberFormat="1" applyBorder="1"/>
    <xf numFmtId="11" fontId="1" fillId="0" borderId="4" xfId="0" applyNumberFormat="1" applyFont="1" applyBorder="1"/>
    <xf numFmtId="14" fontId="0" fillId="0" borderId="0" xfId="0" applyNumberFormat="1" applyBorder="1"/>
    <xf numFmtId="0" fontId="1" fillId="0" borderId="7" xfId="0" applyFont="1" applyBorder="1"/>
    <xf numFmtId="11" fontId="1" fillId="0" borderId="7" xfId="0" applyNumberFormat="1" applyFont="1" applyBorder="1"/>
    <xf numFmtId="0" fontId="1" fillId="0" borderId="8" xfId="0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5</xdr:row>
      <xdr:rowOff>0</xdr:rowOff>
    </xdr:from>
    <xdr:to>
      <xdr:col>21</xdr:col>
      <xdr:colOff>525551</xdr:colOff>
      <xdr:row>19</xdr:row>
      <xdr:rowOff>149596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0025" y="1333500"/>
          <a:ext cx="6145301" cy="2816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39"/>
  <sheetViews>
    <sheetView tabSelected="1" topLeftCell="A12" workbookViewId="0">
      <selection activeCell="M5" sqref="M5"/>
    </sheetView>
  </sheetViews>
  <sheetFormatPr defaultRowHeight="15" x14ac:dyDescent="0.25"/>
  <cols>
    <col min="2" max="2" width="15.28515625" customWidth="1"/>
    <col min="3" max="3" width="10.140625" customWidth="1"/>
    <col min="4" max="4" width="9.28515625" customWidth="1"/>
    <col min="12" max="12" width="9.42578125" customWidth="1"/>
    <col min="13" max="13" width="10" customWidth="1"/>
    <col min="15" max="15" width="9.42578125" customWidth="1"/>
    <col min="16" max="16" width="10" customWidth="1"/>
    <col min="22" max="22" width="9" customWidth="1"/>
    <col min="23" max="23" width="12.140625" customWidth="1"/>
    <col min="24" max="24" width="14.85546875" customWidth="1"/>
    <col min="25" max="25" width="13.85546875" customWidth="1"/>
    <col min="26" max="26" width="15.140625" customWidth="1"/>
    <col min="27" max="27" width="13.5703125" customWidth="1"/>
    <col min="28" max="28" width="15.7109375" customWidth="1"/>
    <col min="29" max="29" width="14.28515625" customWidth="1"/>
    <col min="30" max="30" width="11.42578125" customWidth="1"/>
  </cols>
  <sheetData>
    <row r="1" spans="1:49" x14ac:dyDescent="0.25">
      <c r="C1" s="1" t="s">
        <v>0</v>
      </c>
      <c r="D1" s="2" t="s">
        <v>1</v>
      </c>
      <c r="E1" s="3"/>
      <c r="F1" s="1" t="s">
        <v>0</v>
      </c>
      <c r="G1" s="2" t="s">
        <v>1</v>
      </c>
      <c r="H1" s="3"/>
      <c r="I1" s="1" t="s">
        <v>0</v>
      </c>
      <c r="J1" s="2" t="s">
        <v>1</v>
      </c>
      <c r="K1" s="3"/>
      <c r="L1" s="1"/>
      <c r="M1" s="2"/>
      <c r="N1" s="3"/>
      <c r="O1" s="1"/>
      <c r="P1" s="2"/>
      <c r="Q1" s="3"/>
      <c r="R1" s="1"/>
      <c r="S1" s="2"/>
      <c r="T1" s="3"/>
      <c r="U1" s="4"/>
      <c r="V1" s="5"/>
      <c r="W1" s="6"/>
      <c r="X1" s="4"/>
      <c r="Y1" s="5"/>
      <c r="Z1" s="7"/>
      <c r="AA1" s="8"/>
      <c r="AG1" s="4"/>
      <c r="AH1" s="5"/>
      <c r="AI1" s="3"/>
    </row>
    <row r="2" spans="1:49" s="6" customFormat="1" ht="45" x14ac:dyDescent="0.25">
      <c r="A2" s="9" t="s">
        <v>2</v>
      </c>
      <c r="B2" s="6" t="s">
        <v>3</v>
      </c>
      <c r="C2" s="10" t="s">
        <v>4</v>
      </c>
      <c r="D2" s="7" t="s">
        <v>4</v>
      </c>
      <c r="E2" s="11" t="s">
        <v>5</v>
      </c>
      <c r="F2" s="10" t="s">
        <v>6</v>
      </c>
      <c r="G2" s="7" t="s">
        <v>6</v>
      </c>
      <c r="H2" s="11" t="s">
        <v>7</v>
      </c>
      <c r="I2" s="10" t="s">
        <v>8</v>
      </c>
      <c r="J2" s="7" t="s">
        <v>8</v>
      </c>
      <c r="K2" s="11" t="s">
        <v>9</v>
      </c>
      <c r="L2" s="10"/>
      <c r="M2" s="7"/>
      <c r="N2" s="11"/>
      <c r="O2" s="10"/>
      <c r="P2" s="7"/>
      <c r="Q2" s="11"/>
      <c r="R2" s="10"/>
      <c r="S2" s="7"/>
      <c r="T2" s="11"/>
      <c r="X2" s="10"/>
      <c r="Y2" s="10"/>
      <c r="AA2" s="10"/>
      <c r="AB2" s="11"/>
      <c r="AC2" s="7"/>
      <c r="AD2" s="11"/>
      <c r="AG2" s="10"/>
      <c r="AH2" s="7"/>
      <c r="AI2" s="11"/>
    </row>
    <row r="3" spans="1:49" x14ac:dyDescent="0.25">
      <c r="A3" s="12">
        <v>45</v>
      </c>
      <c r="B3" s="13"/>
      <c r="C3" s="14"/>
      <c r="D3" s="15"/>
      <c r="E3" s="16"/>
      <c r="F3" s="8"/>
      <c r="G3" s="17"/>
      <c r="H3" s="16"/>
      <c r="I3" s="8"/>
      <c r="J3" s="15"/>
      <c r="K3" s="16"/>
      <c r="L3" s="8"/>
      <c r="M3" s="17"/>
      <c r="N3" s="16"/>
      <c r="O3" s="8"/>
      <c r="P3" s="17"/>
      <c r="Q3" s="16"/>
      <c r="R3" s="8"/>
      <c r="S3" s="15"/>
      <c r="T3" s="16"/>
      <c r="X3" s="8"/>
      <c r="Y3" s="15"/>
      <c r="Z3" s="16"/>
      <c r="AD3" s="18"/>
      <c r="AE3" s="18"/>
      <c r="AG3" s="8"/>
      <c r="AH3" s="17"/>
      <c r="AI3" s="16"/>
      <c r="AU3" s="19"/>
      <c r="AW3" s="19"/>
    </row>
    <row r="4" spans="1:49" x14ac:dyDescent="0.25">
      <c r="A4" s="12">
        <v>46</v>
      </c>
      <c r="B4" s="13"/>
      <c r="C4" s="14"/>
      <c r="D4" s="15"/>
      <c r="E4" s="20"/>
      <c r="F4" s="8"/>
      <c r="G4" s="17"/>
      <c r="H4" s="20"/>
      <c r="I4" s="8"/>
      <c r="J4" s="15"/>
      <c r="K4" s="20"/>
      <c r="L4" s="8"/>
      <c r="M4" s="17" t="s">
        <v>57</v>
      </c>
      <c r="N4" s="20"/>
      <c r="O4" s="8"/>
      <c r="P4" s="17"/>
      <c r="Q4" s="20"/>
      <c r="R4" s="8"/>
      <c r="S4" s="15"/>
      <c r="T4" s="20"/>
      <c r="X4" s="8"/>
      <c r="Y4" s="15"/>
      <c r="Z4" s="20"/>
      <c r="AE4" s="18"/>
      <c r="AG4" s="8"/>
      <c r="AH4" s="17"/>
      <c r="AI4" s="16"/>
      <c r="AU4" s="19"/>
      <c r="AW4" s="19"/>
    </row>
    <row r="5" spans="1:49" x14ac:dyDescent="0.25">
      <c r="A5" s="12">
        <v>47.5</v>
      </c>
      <c r="B5" s="13"/>
      <c r="C5" s="14"/>
      <c r="D5" s="15"/>
      <c r="E5" s="20"/>
      <c r="F5" s="8"/>
      <c r="G5" s="17"/>
      <c r="H5" s="20"/>
      <c r="I5" s="8"/>
      <c r="J5" s="15"/>
      <c r="K5" s="20"/>
      <c r="L5" s="8"/>
      <c r="M5" s="17"/>
      <c r="N5" s="20"/>
      <c r="O5" s="8"/>
      <c r="P5" s="17"/>
      <c r="Q5" s="20"/>
      <c r="R5" s="8"/>
      <c r="S5" s="15"/>
      <c r="T5" s="20"/>
      <c r="X5" s="8"/>
      <c r="Y5" s="15"/>
      <c r="Z5" s="20"/>
      <c r="AE5" s="18"/>
      <c r="AG5" s="8"/>
      <c r="AH5" s="17"/>
      <c r="AI5" s="16"/>
      <c r="AU5" s="19"/>
      <c r="AW5" s="19"/>
    </row>
    <row r="6" spans="1:49" x14ac:dyDescent="0.25">
      <c r="A6" s="12">
        <v>50</v>
      </c>
      <c r="B6" s="13"/>
      <c r="C6" s="19"/>
      <c r="D6" s="15"/>
      <c r="E6" s="20"/>
      <c r="F6" s="8"/>
      <c r="G6" s="17"/>
      <c r="H6" s="20"/>
      <c r="I6" s="19"/>
      <c r="J6" s="15"/>
      <c r="K6" s="20"/>
      <c r="L6" s="8"/>
      <c r="M6" s="17"/>
      <c r="N6" s="20"/>
      <c r="O6" s="8"/>
      <c r="P6" s="15"/>
      <c r="Q6" s="20"/>
      <c r="R6" s="14"/>
      <c r="S6" s="21"/>
      <c r="T6" s="20"/>
      <c r="X6" s="14"/>
      <c r="Y6" s="15"/>
      <c r="Z6" s="20"/>
      <c r="AE6" s="18"/>
      <c r="AG6" s="8"/>
      <c r="AH6" s="17"/>
      <c r="AI6" s="16"/>
      <c r="AU6" s="19"/>
      <c r="AW6" s="19"/>
    </row>
    <row r="7" spans="1:49" x14ac:dyDescent="0.25">
      <c r="B7" s="13"/>
      <c r="D7" s="15"/>
      <c r="E7" s="20"/>
      <c r="F7" s="8"/>
      <c r="G7" s="17"/>
      <c r="H7" s="20"/>
      <c r="I7" s="8"/>
      <c r="J7" s="15"/>
      <c r="K7" s="20"/>
      <c r="L7" s="8"/>
      <c r="M7" s="17"/>
      <c r="N7" s="20"/>
      <c r="O7" s="8"/>
      <c r="P7" s="15"/>
      <c r="Q7" s="20"/>
      <c r="R7" s="14"/>
      <c r="S7" s="21"/>
      <c r="T7" s="20"/>
      <c r="X7" s="14"/>
      <c r="Y7" s="15"/>
      <c r="Z7" s="20"/>
      <c r="AE7" s="18"/>
      <c r="AG7" s="8"/>
      <c r="AH7" s="17"/>
      <c r="AI7" s="16"/>
    </row>
    <row r="8" spans="1:49" x14ac:dyDescent="0.25">
      <c r="B8" s="13"/>
      <c r="D8" s="15"/>
      <c r="E8" s="20"/>
      <c r="F8" s="8"/>
      <c r="G8" s="17"/>
      <c r="H8" s="20"/>
      <c r="I8" s="8"/>
      <c r="J8" s="15"/>
      <c r="K8" s="20"/>
      <c r="L8" s="8"/>
      <c r="M8" s="17"/>
      <c r="N8" s="20"/>
      <c r="O8" s="8"/>
      <c r="P8" s="15"/>
      <c r="Q8" s="20"/>
      <c r="R8" s="14"/>
      <c r="S8" s="21"/>
      <c r="T8" s="20"/>
      <c r="X8" s="14"/>
      <c r="Y8" s="15"/>
      <c r="Z8" s="20"/>
      <c r="AE8" s="18"/>
      <c r="AG8" s="8"/>
      <c r="AH8" s="17"/>
      <c r="AI8" s="16"/>
    </row>
    <row r="9" spans="1:49" x14ac:dyDescent="0.25">
      <c r="B9" s="13"/>
      <c r="D9" s="15"/>
      <c r="E9" s="20"/>
      <c r="F9" s="8"/>
      <c r="G9" s="17"/>
      <c r="H9" s="20"/>
      <c r="I9" s="8"/>
      <c r="J9" s="15"/>
      <c r="K9" s="20"/>
      <c r="L9" s="8"/>
      <c r="M9" s="17"/>
      <c r="N9" s="20"/>
      <c r="O9" s="8"/>
      <c r="P9" s="15"/>
      <c r="Q9" s="20"/>
      <c r="R9" s="14"/>
      <c r="S9" s="21"/>
      <c r="T9" s="20"/>
      <c r="X9" s="14"/>
      <c r="Y9" s="15"/>
      <c r="Z9" s="20"/>
      <c r="AE9" s="18"/>
      <c r="AG9" s="8"/>
      <c r="AH9" s="17"/>
      <c r="AI9" s="16"/>
    </row>
    <row r="10" spans="1:49" x14ac:dyDescent="0.25">
      <c r="B10" s="13">
        <v>41334</v>
      </c>
      <c r="C10" s="14" t="s">
        <v>10</v>
      </c>
      <c r="D10" s="15">
        <f>(AVERAGE(95,79,73)/20)*1000*A$3</f>
        <v>185249.99999999997</v>
      </c>
      <c r="E10" s="20">
        <f t="shared" ref="E10:E23" si="0">E9+D10</f>
        <v>185249.99999999997</v>
      </c>
      <c r="F10" s="8"/>
      <c r="G10" s="17"/>
      <c r="H10" s="20"/>
      <c r="I10" s="8" t="s">
        <v>11</v>
      </c>
      <c r="J10" s="15">
        <f>478800</f>
        <v>478800</v>
      </c>
      <c r="K10" s="20">
        <f t="shared" ref="K10:K21" si="1">K9+J10</f>
        <v>478800</v>
      </c>
      <c r="L10" s="8"/>
      <c r="M10" s="17"/>
      <c r="N10" s="20"/>
      <c r="O10" s="8"/>
      <c r="P10" s="15"/>
      <c r="Q10" s="20"/>
      <c r="R10" s="8"/>
      <c r="S10" s="15"/>
      <c r="T10" s="20"/>
      <c r="U10" s="19"/>
      <c r="X10" s="8"/>
      <c r="Y10" s="15"/>
      <c r="Z10" s="20"/>
      <c r="AE10" s="18"/>
      <c r="AG10" s="8"/>
      <c r="AH10" s="17"/>
      <c r="AI10" s="16"/>
    </row>
    <row r="11" spans="1:49" x14ac:dyDescent="0.25">
      <c r="A11" t="s">
        <v>12</v>
      </c>
      <c r="B11" s="19">
        <f>AVERAGE(D10,D12)</f>
        <v>131250</v>
      </c>
      <c r="C11" s="14" t="s">
        <v>13</v>
      </c>
      <c r="D11" s="15">
        <f>(AVERAGE(1,2,2)/20)*1000*A$3</f>
        <v>3750.0000000000005</v>
      </c>
      <c r="E11" s="20">
        <f t="shared" si="0"/>
        <v>188999.99999999997</v>
      </c>
      <c r="F11" s="8"/>
      <c r="G11" s="17"/>
      <c r="H11" s="20"/>
      <c r="I11" s="8" t="s">
        <v>14</v>
      </c>
      <c r="J11" s="15">
        <v>6750</v>
      </c>
      <c r="K11" s="20">
        <f t="shared" si="1"/>
        <v>485550</v>
      </c>
      <c r="L11" s="8"/>
      <c r="M11" s="17"/>
      <c r="N11" s="20"/>
      <c r="O11" s="8"/>
      <c r="P11" s="15"/>
      <c r="Q11" s="20"/>
      <c r="R11" s="8"/>
      <c r="S11" s="15"/>
      <c r="T11" s="20"/>
      <c r="X11" s="8"/>
      <c r="Y11" s="15"/>
      <c r="Z11" s="20"/>
      <c r="AE11" s="18"/>
      <c r="AG11" s="8"/>
      <c r="AH11" s="17"/>
      <c r="AI11" s="16"/>
    </row>
    <row r="12" spans="1:49" x14ac:dyDescent="0.25">
      <c r="A12" t="s">
        <v>15</v>
      </c>
      <c r="B12" s="19">
        <f>AVERAGE(D11,D121)</f>
        <v>3750.0000000000005</v>
      </c>
      <c r="C12" s="14" t="s">
        <v>16</v>
      </c>
      <c r="D12" s="15">
        <f>(AVERAGE(26,38,39)/20)*1000*A$3</f>
        <v>77250</v>
      </c>
      <c r="E12" s="20">
        <f t="shared" si="0"/>
        <v>266250</v>
      </c>
      <c r="F12" s="8"/>
      <c r="G12" s="17"/>
      <c r="H12" s="20"/>
      <c r="I12" s="8" t="s">
        <v>17</v>
      </c>
      <c r="J12" s="15">
        <f>(AVERAGE(16,23,16)/20)*1000*A5</f>
        <v>43541.666666666664</v>
      </c>
      <c r="K12" s="20">
        <f t="shared" si="1"/>
        <v>529091.66666666663</v>
      </c>
      <c r="L12" s="8"/>
      <c r="M12" s="17"/>
      <c r="N12" s="20"/>
      <c r="O12" s="8"/>
      <c r="P12" s="15"/>
      <c r="Q12" s="20"/>
      <c r="R12" s="8"/>
      <c r="S12" s="15"/>
      <c r="T12" s="20"/>
      <c r="X12" s="8"/>
      <c r="Y12" s="15"/>
      <c r="Z12" s="20"/>
      <c r="AE12" s="18"/>
      <c r="AG12" s="8"/>
      <c r="AH12" s="17"/>
      <c r="AI12" s="16"/>
    </row>
    <row r="13" spans="1:49" x14ac:dyDescent="0.25">
      <c r="A13" t="s">
        <v>18</v>
      </c>
      <c r="B13" s="19">
        <f>AVERAGE(D15,D17)</f>
        <v>425250</v>
      </c>
      <c r="C13" s="14" t="s">
        <v>19</v>
      </c>
      <c r="D13" s="15">
        <f>(AVERAGE(4,1,5)/20)*1000*A$3</f>
        <v>7500.0000000000009</v>
      </c>
      <c r="E13" s="20">
        <f t="shared" si="0"/>
        <v>273750</v>
      </c>
      <c r="F13" s="8"/>
      <c r="G13" s="15"/>
      <c r="H13" s="20"/>
      <c r="I13" s="8" t="s">
        <v>20</v>
      </c>
      <c r="J13" s="15">
        <f>(0.33/20)*1000*A5</f>
        <v>783.75</v>
      </c>
      <c r="K13" s="20">
        <f t="shared" si="1"/>
        <v>529875.41666666663</v>
      </c>
      <c r="L13" s="8"/>
      <c r="M13" s="15"/>
      <c r="N13" s="20"/>
      <c r="O13" s="8"/>
      <c r="P13" s="15"/>
      <c r="Q13" s="20"/>
      <c r="R13" s="8"/>
      <c r="S13" s="15"/>
      <c r="T13" s="20"/>
      <c r="V13" s="19"/>
      <c r="X13" s="8"/>
      <c r="Y13" s="15"/>
      <c r="Z13" s="20"/>
      <c r="AB13" s="19"/>
      <c r="AD13" s="19"/>
      <c r="AE13" s="18"/>
      <c r="AF13" s="19"/>
      <c r="AG13" s="8"/>
      <c r="AH13" s="15"/>
      <c r="AI13" s="16"/>
      <c r="AJ13" s="19"/>
      <c r="AL13" s="19"/>
      <c r="AN13" s="19"/>
      <c r="AP13" s="19"/>
      <c r="AR13" s="19"/>
    </row>
    <row r="14" spans="1:49" x14ac:dyDescent="0.25">
      <c r="A14" t="s">
        <v>21</v>
      </c>
      <c r="B14" s="19">
        <f>AVERAGE(D14,D16)</f>
        <v>237375</v>
      </c>
      <c r="C14" s="14" t="s">
        <v>22</v>
      </c>
      <c r="D14" s="15">
        <f>(AVERAGE(215,219,169,141)/20)*1000*A$6</f>
        <v>465000</v>
      </c>
      <c r="E14" s="20">
        <f t="shared" si="0"/>
        <v>738750</v>
      </c>
      <c r="F14" s="8"/>
      <c r="G14" s="15"/>
      <c r="H14" s="20"/>
      <c r="I14" s="8" t="s">
        <v>23</v>
      </c>
      <c r="J14" s="15">
        <f>(AVERAGE(312,310,295)/20)*1000*A3</f>
        <v>687750.00000000012</v>
      </c>
      <c r="K14" s="20">
        <f t="shared" si="1"/>
        <v>1217625.4166666667</v>
      </c>
      <c r="L14" s="8"/>
      <c r="M14" s="15"/>
      <c r="N14" s="20"/>
      <c r="O14" s="8"/>
      <c r="P14" s="15"/>
      <c r="Q14" s="20"/>
      <c r="R14" s="8"/>
      <c r="S14" s="15"/>
      <c r="T14" s="20"/>
      <c r="V14" s="19"/>
      <c r="X14" s="8"/>
      <c r="Y14" s="15"/>
      <c r="Z14" s="20"/>
      <c r="AB14" s="19"/>
      <c r="AD14" s="19"/>
      <c r="AE14" s="18"/>
      <c r="AF14" s="19"/>
      <c r="AG14" s="8"/>
      <c r="AH14" s="15"/>
      <c r="AI14" s="16"/>
      <c r="AJ14" s="19"/>
      <c r="AL14" s="19"/>
      <c r="AN14" s="19"/>
      <c r="AP14" s="19"/>
      <c r="AR14" s="19"/>
    </row>
    <row r="15" spans="1:49" x14ac:dyDescent="0.25">
      <c r="A15" t="s">
        <v>24</v>
      </c>
      <c r="B15" s="19">
        <f>2*(B11-B12)</f>
        <v>255000</v>
      </c>
      <c r="C15" s="14" t="s">
        <v>25</v>
      </c>
      <c r="D15" s="15">
        <f>(AVERAGE(190,165,157)/20)*1000*A$3</f>
        <v>384000</v>
      </c>
      <c r="E15" s="20">
        <f t="shared" si="0"/>
        <v>1122750</v>
      </c>
      <c r="F15" s="8"/>
      <c r="G15" s="15"/>
      <c r="H15" s="20"/>
      <c r="I15" s="8" t="s">
        <v>26</v>
      </c>
      <c r="J15" s="15">
        <f>(AVERAGE(1,2,5)/20)*1000*A4</f>
        <v>6133.3333333333339</v>
      </c>
      <c r="K15" s="20">
        <f t="shared" si="1"/>
        <v>1223758.75</v>
      </c>
      <c r="L15" s="8"/>
      <c r="M15" s="15"/>
      <c r="N15" s="20"/>
      <c r="O15" s="8"/>
      <c r="P15" s="15"/>
      <c r="Q15" s="20"/>
      <c r="R15" s="8"/>
      <c r="S15" s="15"/>
      <c r="T15" s="20"/>
      <c r="V15" s="19"/>
      <c r="X15" s="8"/>
      <c r="Y15" s="15"/>
      <c r="Z15" s="20"/>
      <c r="AB15" s="19"/>
      <c r="AD15" s="19"/>
      <c r="AE15" s="18"/>
      <c r="AF15" s="19"/>
      <c r="AG15" s="8"/>
      <c r="AH15" s="15"/>
      <c r="AI15" s="16"/>
      <c r="AJ15" s="19"/>
      <c r="AL15" s="19"/>
      <c r="AN15" s="19"/>
      <c r="AP15" s="19"/>
      <c r="AR15" s="19"/>
    </row>
    <row r="16" spans="1:49" x14ac:dyDescent="0.25">
      <c r="A16" t="s">
        <v>18</v>
      </c>
      <c r="B16" s="19">
        <f>2*(B13-B14)</f>
        <v>375750</v>
      </c>
      <c r="C16" s="14" t="s">
        <v>27</v>
      </c>
      <c r="D16" s="15">
        <f>(AVERAGE(4,3,6)/20)*1000*A$3</f>
        <v>9750</v>
      </c>
      <c r="E16" s="20">
        <f t="shared" si="0"/>
        <v>1132500</v>
      </c>
      <c r="F16" s="8"/>
      <c r="G16" s="15"/>
      <c r="H16" s="20"/>
      <c r="I16" s="8" t="s">
        <v>28</v>
      </c>
      <c r="J16" s="15">
        <v>273000</v>
      </c>
      <c r="K16" s="20">
        <f t="shared" si="1"/>
        <v>1496758.75</v>
      </c>
      <c r="L16" s="8"/>
      <c r="M16" s="15"/>
      <c r="N16" s="20"/>
      <c r="O16" s="8"/>
      <c r="P16" s="15"/>
      <c r="Q16" s="20"/>
      <c r="R16" s="8"/>
      <c r="S16" s="15"/>
      <c r="T16" s="20"/>
      <c r="V16" s="19"/>
      <c r="X16" s="8"/>
      <c r="Y16" s="15"/>
      <c r="Z16" s="20"/>
      <c r="AB16" s="19"/>
      <c r="AD16" s="19"/>
      <c r="AE16" s="18"/>
      <c r="AF16" s="19"/>
      <c r="AG16" s="8"/>
      <c r="AH16" s="15"/>
      <c r="AI16" s="16"/>
      <c r="AJ16" s="19"/>
      <c r="AL16" s="19"/>
      <c r="AN16" s="19"/>
      <c r="AP16" s="19"/>
      <c r="AR16" s="19"/>
    </row>
    <row r="17" spans="1:45" x14ac:dyDescent="0.25">
      <c r="B17" s="13"/>
      <c r="C17" s="14" t="s">
        <v>29</v>
      </c>
      <c r="D17" s="15">
        <f>(AVERAGE(221,209,192)/20)*1000*A$3</f>
        <v>466500.00000000006</v>
      </c>
      <c r="E17" s="20">
        <f t="shared" si="0"/>
        <v>1599000</v>
      </c>
      <c r="F17" s="8"/>
      <c r="G17" s="15"/>
      <c r="H17" s="20"/>
      <c r="I17" s="8" t="s">
        <v>30</v>
      </c>
      <c r="J17" s="15">
        <f>(AVERAGE(298,300,253)/20)*1000*A$3</f>
        <v>638250</v>
      </c>
      <c r="K17" s="20">
        <f t="shared" si="1"/>
        <v>2135008.75</v>
      </c>
      <c r="L17" s="8"/>
      <c r="M17" s="15"/>
      <c r="N17" s="20"/>
      <c r="O17" s="8"/>
      <c r="P17" s="15"/>
      <c r="Q17" s="20"/>
      <c r="R17" s="8"/>
      <c r="S17" s="15"/>
      <c r="T17" s="20"/>
      <c r="V17" s="19"/>
      <c r="X17" s="8"/>
      <c r="Y17" s="15"/>
      <c r="Z17" s="20"/>
      <c r="AB17" s="19"/>
      <c r="AD17" s="19"/>
      <c r="AE17" s="18"/>
      <c r="AF17" s="19"/>
      <c r="AG17" s="8"/>
      <c r="AH17" s="15"/>
      <c r="AI17" s="16"/>
      <c r="AJ17" s="19"/>
      <c r="AL17" s="19"/>
      <c r="AN17" s="19"/>
      <c r="AP17" s="19"/>
      <c r="AR17" s="19"/>
    </row>
    <row r="18" spans="1:45" x14ac:dyDescent="0.25">
      <c r="B18" s="13"/>
      <c r="C18" s="14" t="s">
        <v>31</v>
      </c>
      <c r="D18" s="15">
        <f>(AVERAGE(2,3,7)/20)*1000*A$3</f>
        <v>9000</v>
      </c>
      <c r="E18" s="20">
        <f t="shared" si="0"/>
        <v>1608000</v>
      </c>
      <c r="F18" s="22"/>
      <c r="G18" s="15"/>
      <c r="H18" s="20"/>
      <c r="I18" s="8" t="s">
        <v>32</v>
      </c>
      <c r="J18" s="15">
        <f>(AVERAGE(1,1,4)/20)*1000*A$3</f>
        <v>4500</v>
      </c>
      <c r="K18" s="20">
        <f t="shared" si="1"/>
        <v>2139508.75</v>
      </c>
      <c r="L18" s="22"/>
      <c r="M18" s="15"/>
      <c r="N18" s="20"/>
      <c r="O18" s="22"/>
      <c r="P18" s="15"/>
      <c r="Q18" s="20"/>
      <c r="R18" s="22"/>
      <c r="S18" s="15"/>
      <c r="T18" s="20"/>
      <c r="U18" s="19"/>
      <c r="V18" s="19"/>
      <c r="W18" s="19"/>
      <c r="X18" s="22"/>
      <c r="Y18" s="15"/>
      <c r="Z18" s="20"/>
      <c r="AA18" s="19"/>
      <c r="AB18" s="19"/>
      <c r="AC18" s="19"/>
      <c r="AD18" s="19"/>
      <c r="AE18" s="18"/>
      <c r="AF18" s="19"/>
      <c r="AG18" s="22"/>
      <c r="AH18" s="15"/>
      <c r="AI18" s="20"/>
      <c r="AJ18" s="19"/>
      <c r="AK18" s="19"/>
      <c r="AL18" s="19"/>
      <c r="AM18" s="19"/>
      <c r="AN18" s="19"/>
      <c r="AO18" s="19"/>
      <c r="AP18" s="19"/>
      <c r="AQ18" s="19"/>
      <c r="AR18" s="19"/>
      <c r="AS18" s="19"/>
    </row>
    <row r="19" spans="1:45" x14ac:dyDescent="0.25">
      <c r="B19" s="13"/>
      <c r="C19" s="14" t="s">
        <v>33</v>
      </c>
      <c r="D19" s="15">
        <f>(AVERAGE(139,180,166)/20)*1000*A$3</f>
        <v>363749.99999999994</v>
      </c>
      <c r="E19" s="20">
        <f t="shared" si="0"/>
        <v>1971750</v>
      </c>
      <c r="F19" s="22"/>
      <c r="G19" s="15"/>
      <c r="H19" s="20"/>
      <c r="I19" s="8" t="s">
        <v>34</v>
      </c>
      <c r="J19" s="15">
        <f>(AVERAGE(37,31,45)/20)*1000*A$3</f>
        <v>84750</v>
      </c>
      <c r="K19" s="20">
        <f t="shared" si="1"/>
        <v>2224258.75</v>
      </c>
      <c r="L19" s="22"/>
      <c r="M19" s="15"/>
      <c r="N19" s="20"/>
      <c r="O19" s="22"/>
      <c r="P19" s="15"/>
      <c r="Q19" s="20"/>
      <c r="R19" s="22"/>
      <c r="S19" s="15"/>
      <c r="T19" s="20"/>
      <c r="U19" s="19"/>
      <c r="V19" s="19"/>
      <c r="W19" s="19"/>
      <c r="X19" s="22"/>
      <c r="Y19" s="15"/>
      <c r="Z19" s="20"/>
      <c r="AA19" s="19"/>
      <c r="AB19" s="19"/>
      <c r="AC19" s="19"/>
      <c r="AD19" s="19"/>
      <c r="AE19" s="18"/>
      <c r="AF19" s="19"/>
      <c r="AG19" s="22"/>
      <c r="AH19" s="15"/>
      <c r="AI19" s="20"/>
      <c r="AJ19" s="19"/>
      <c r="AK19" s="19"/>
      <c r="AL19" s="19"/>
      <c r="AM19" s="19"/>
      <c r="AN19" s="19"/>
      <c r="AO19" s="19"/>
      <c r="AP19" s="19"/>
      <c r="AQ19" s="19"/>
      <c r="AR19" s="19"/>
      <c r="AS19" s="19"/>
    </row>
    <row r="20" spans="1:45" x14ac:dyDescent="0.25">
      <c r="B20" s="13">
        <v>41336</v>
      </c>
      <c r="C20" s="14" t="s">
        <v>35</v>
      </c>
      <c r="D20" s="15">
        <v>1500</v>
      </c>
      <c r="E20" s="20">
        <f t="shared" si="0"/>
        <v>1973250</v>
      </c>
      <c r="F20" s="22" t="s">
        <v>36</v>
      </c>
      <c r="G20" s="17">
        <f>(AVERAGE(261,267,288)/20)*1000*$A$3</f>
        <v>612000</v>
      </c>
      <c r="H20" s="20">
        <f t="shared" ref="H10:H24" si="2">H19+G20</f>
        <v>612000</v>
      </c>
      <c r="I20" s="8" t="s">
        <v>37</v>
      </c>
      <c r="J20" s="15">
        <f>(AVERAGE(122,116,101)/20)*1000*A$3</f>
        <v>254250</v>
      </c>
      <c r="K20" s="20">
        <f t="shared" si="1"/>
        <v>2478508.75</v>
      </c>
      <c r="N20" s="20"/>
      <c r="O20" s="22"/>
      <c r="P20" s="15"/>
      <c r="Q20" s="20"/>
      <c r="R20" s="22"/>
      <c r="S20" s="15"/>
      <c r="T20" s="20"/>
      <c r="U20" s="19"/>
      <c r="V20" s="19"/>
      <c r="W20" s="19"/>
      <c r="X20" s="22"/>
      <c r="Y20" s="15"/>
      <c r="Z20" s="20"/>
      <c r="AA20" s="19"/>
      <c r="AB20" s="19"/>
      <c r="AC20" s="19"/>
      <c r="AD20" s="19"/>
      <c r="AE20" s="18"/>
      <c r="AF20" s="19"/>
      <c r="AG20" s="22"/>
      <c r="AH20" s="15"/>
      <c r="AI20" s="20"/>
      <c r="AJ20" s="19"/>
      <c r="AK20" s="19"/>
      <c r="AL20" s="19"/>
      <c r="AM20" s="19"/>
      <c r="AN20" s="19"/>
      <c r="AO20" s="19"/>
      <c r="AP20" s="19"/>
      <c r="AQ20" s="19"/>
      <c r="AR20" s="19"/>
      <c r="AS20" s="19"/>
    </row>
    <row r="21" spans="1:45" x14ac:dyDescent="0.25">
      <c r="B21" s="13"/>
      <c r="C21" s="14" t="s">
        <v>38</v>
      </c>
      <c r="D21" s="15">
        <v>1500</v>
      </c>
      <c r="E21" s="20">
        <f t="shared" si="0"/>
        <v>1974750</v>
      </c>
      <c r="F21" s="22" t="s">
        <v>39</v>
      </c>
      <c r="G21" s="17">
        <f>(AVERAGE(292,313,259)/20)*1000*$A$3</f>
        <v>648000</v>
      </c>
      <c r="H21" s="20">
        <f t="shared" si="2"/>
        <v>1260000</v>
      </c>
      <c r="I21" s="8" t="s">
        <v>40</v>
      </c>
      <c r="J21" s="15">
        <f>(AVERAGE(147,125,128)/20)*1000*A$3</f>
        <v>300000</v>
      </c>
      <c r="K21" s="20">
        <f t="shared" si="1"/>
        <v>2778508.75</v>
      </c>
      <c r="N21" s="20"/>
      <c r="O21" s="22"/>
      <c r="P21" s="15"/>
      <c r="Q21" s="20"/>
      <c r="R21" s="22"/>
      <c r="S21" s="15"/>
      <c r="T21" s="20"/>
      <c r="U21" s="19"/>
      <c r="V21" s="19"/>
      <c r="W21" s="19"/>
      <c r="X21" s="22"/>
      <c r="Y21" s="15"/>
      <c r="Z21" s="20"/>
      <c r="AA21" s="19"/>
      <c r="AB21" s="19"/>
      <c r="AC21" s="19"/>
      <c r="AD21" s="19"/>
      <c r="AE21" s="19"/>
      <c r="AF21" s="19"/>
      <c r="AG21" s="22"/>
      <c r="AH21" s="15"/>
      <c r="AI21" s="20"/>
      <c r="AJ21" s="19"/>
      <c r="AK21" s="19"/>
      <c r="AL21" s="19"/>
      <c r="AM21" s="19"/>
      <c r="AN21" s="19"/>
      <c r="AO21" s="19"/>
      <c r="AP21" s="19"/>
      <c r="AQ21" s="19"/>
      <c r="AR21" s="19"/>
      <c r="AS21" s="19"/>
    </row>
    <row r="22" spans="1:45" x14ac:dyDescent="0.25">
      <c r="B22" s="13"/>
      <c r="C22" s="14" t="s">
        <v>41</v>
      </c>
      <c r="D22" s="15">
        <v>1500</v>
      </c>
      <c r="E22" s="20">
        <f t="shared" si="0"/>
        <v>1976250</v>
      </c>
      <c r="F22" s="22" t="s">
        <v>42</v>
      </c>
      <c r="G22" s="17">
        <f>(AVERAGE(257,246,195)/20)*1000*$A$3</f>
        <v>523499.99999999994</v>
      </c>
      <c r="H22" s="20">
        <f t="shared" si="2"/>
        <v>1783500</v>
      </c>
      <c r="I22" s="8"/>
      <c r="J22" s="15"/>
      <c r="K22" s="20"/>
      <c r="N22" s="20"/>
      <c r="O22" s="22"/>
      <c r="P22" s="15"/>
      <c r="Q22" s="20"/>
      <c r="R22" s="22"/>
      <c r="S22" s="15"/>
      <c r="T22" s="20"/>
      <c r="U22" s="19"/>
      <c r="V22" s="19"/>
      <c r="W22" s="19"/>
      <c r="X22" s="22"/>
      <c r="Y22" s="15"/>
      <c r="Z22" s="20"/>
      <c r="AA22" s="19"/>
      <c r="AB22" s="19"/>
      <c r="AC22" s="19"/>
      <c r="AD22" s="19"/>
      <c r="AE22" s="19"/>
      <c r="AF22" s="19"/>
      <c r="AG22" s="22"/>
      <c r="AH22" s="15"/>
      <c r="AI22" s="20"/>
      <c r="AJ22" s="19"/>
      <c r="AK22" s="19"/>
      <c r="AL22" s="19"/>
      <c r="AM22" s="19"/>
      <c r="AN22" s="19"/>
      <c r="AO22" s="19"/>
      <c r="AP22" s="19"/>
      <c r="AQ22" s="19"/>
      <c r="AR22" s="19"/>
      <c r="AS22" s="19"/>
    </row>
    <row r="23" spans="1:45" x14ac:dyDescent="0.25">
      <c r="B23" s="13"/>
      <c r="C23" s="14" t="s">
        <v>43</v>
      </c>
      <c r="D23" s="15">
        <v>1500</v>
      </c>
      <c r="E23" s="20">
        <f t="shared" si="0"/>
        <v>1977750</v>
      </c>
      <c r="F23" s="22" t="s">
        <v>44</v>
      </c>
      <c r="G23" s="17">
        <f>(AVERAGE(237,216,194)/20)*1000*$A$3</f>
        <v>485250</v>
      </c>
      <c r="H23" s="20">
        <f t="shared" si="2"/>
        <v>2268750</v>
      </c>
      <c r="I23" s="22"/>
      <c r="J23" s="15"/>
      <c r="K23" s="20"/>
      <c r="N23" s="20"/>
      <c r="O23" s="22"/>
      <c r="P23" s="15"/>
      <c r="Q23" s="20"/>
      <c r="R23" s="22"/>
      <c r="S23" s="15"/>
      <c r="T23" s="20"/>
      <c r="U23" s="19"/>
      <c r="V23" s="19"/>
      <c r="W23" s="19"/>
      <c r="X23" s="22"/>
      <c r="Y23" s="15"/>
      <c r="Z23" s="20"/>
      <c r="AA23" s="19"/>
      <c r="AB23" s="19"/>
      <c r="AC23" s="19"/>
      <c r="AD23" s="19"/>
      <c r="AE23" s="19"/>
      <c r="AF23" s="19"/>
      <c r="AG23" s="22"/>
      <c r="AH23" s="15"/>
      <c r="AI23" s="20"/>
      <c r="AJ23" s="19"/>
      <c r="AK23" s="19"/>
      <c r="AL23" s="19"/>
      <c r="AM23" s="19"/>
      <c r="AN23" s="19"/>
      <c r="AO23" s="19"/>
      <c r="AP23" s="19"/>
      <c r="AQ23" s="19"/>
      <c r="AR23" s="19"/>
      <c r="AS23" s="19"/>
    </row>
    <row r="24" spans="1:45" x14ac:dyDescent="0.25">
      <c r="B24" s="13"/>
      <c r="C24" s="14"/>
      <c r="D24" s="15"/>
      <c r="E24" s="20"/>
      <c r="F24" s="22" t="s">
        <v>45</v>
      </c>
      <c r="G24" s="17">
        <f>(AVERAGE(108,109,119)/20)*1000*A4</f>
        <v>257600</v>
      </c>
      <c r="H24" s="20">
        <f t="shared" si="2"/>
        <v>2526350</v>
      </c>
      <c r="I24" s="22"/>
      <c r="J24" s="15"/>
      <c r="K24" s="20"/>
      <c r="N24" s="20"/>
      <c r="O24" s="22"/>
      <c r="P24" s="15"/>
      <c r="Q24" s="20"/>
      <c r="R24" s="22"/>
      <c r="S24" s="15"/>
      <c r="T24" s="20"/>
      <c r="U24" s="19"/>
      <c r="V24" s="19"/>
      <c r="W24" s="19"/>
      <c r="X24" s="22"/>
      <c r="Y24" s="15"/>
      <c r="Z24" s="20"/>
      <c r="AA24" s="19"/>
      <c r="AB24" s="19"/>
      <c r="AC24" s="19"/>
      <c r="AD24" s="19"/>
      <c r="AE24" s="19"/>
      <c r="AF24" s="19"/>
      <c r="AG24" s="22"/>
      <c r="AH24" s="15"/>
      <c r="AI24" s="20"/>
      <c r="AJ24" s="19"/>
      <c r="AK24" s="19"/>
      <c r="AL24" s="19"/>
      <c r="AM24" s="19"/>
      <c r="AN24" s="19"/>
      <c r="AO24" s="19"/>
      <c r="AP24" s="19"/>
      <c r="AQ24" s="19"/>
      <c r="AR24" s="19"/>
      <c r="AS24" s="19"/>
    </row>
    <row r="25" spans="1:45" x14ac:dyDescent="0.25">
      <c r="C25" s="14"/>
      <c r="D25" s="15"/>
      <c r="E25" s="20"/>
      <c r="F25" s="23"/>
      <c r="G25" s="15"/>
      <c r="H25" s="20"/>
      <c r="I25" s="22"/>
      <c r="J25" s="15"/>
      <c r="K25" s="20"/>
      <c r="N25" s="20"/>
      <c r="O25" s="22"/>
      <c r="P25" s="15"/>
      <c r="Q25" s="20"/>
      <c r="R25" s="22"/>
      <c r="S25" s="15"/>
      <c r="T25" s="20"/>
      <c r="U25" s="19"/>
      <c r="V25" s="19"/>
      <c r="W25" s="19"/>
      <c r="X25" s="22"/>
      <c r="Y25" s="15"/>
      <c r="Z25" s="20"/>
      <c r="AA25" s="19"/>
      <c r="AB25" s="19"/>
      <c r="AC25" s="19"/>
      <c r="AD25" s="19"/>
      <c r="AE25" s="19"/>
      <c r="AF25" s="19"/>
      <c r="AG25" s="22"/>
      <c r="AH25" s="15"/>
      <c r="AI25" s="20"/>
      <c r="AJ25" s="19"/>
      <c r="AK25" s="19"/>
      <c r="AL25" s="19"/>
      <c r="AM25" s="19"/>
      <c r="AN25" s="19"/>
      <c r="AO25" s="19"/>
      <c r="AP25" s="19"/>
      <c r="AQ25" s="19"/>
      <c r="AR25" s="19"/>
      <c r="AS25" s="19"/>
    </row>
    <row r="26" spans="1:45" x14ac:dyDescent="0.25">
      <c r="A26" t="s">
        <v>46</v>
      </c>
      <c r="B26" s="19">
        <f>SUM(D10:D23)</f>
        <v>1977750</v>
      </c>
      <c r="C26" s="14"/>
      <c r="D26" s="15"/>
      <c r="E26" s="20"/>
      <c r="F26" s="23"/>
      <c r="G26" s="15"/>
      <c r="H26" s="20"/>
      <c r="I26" s="22"/>
      <c r="J26" s="15"/>
      <c r="K26" s="20"/>
      <c r="N26" s="20"/>
      <c r="O26" s="22"/>
      <c r="P26" s="15"/>
      <c r="Q26" s="20"/>
      <c r="R26" s="22"/>
      <c r="S26" s="15"/>
      <c r="T26" s="20"/>
      <c r="U26" s="19"/>
      <c r="V26" s="19"/>
      <c r="W26" s="19"/>
      <c r="X26" s="22"/>
      <c r="Y26" s="15"/>
      <c r="Z26" s="20"/>
      <c r="AA26" s="19"/>
      <c r="AB26" s="19"/>
      <c r="AC26" s="19"/>
      <c r="AD26" s="19"/>
      <c r="AE26" s="19"/>
      <c r="AF26" s="19"/>
      <c r="AG26" s="22"/>
      <c r="AH26" s="15"/>
      <c r="AI26" s="20"/>
      <c r="AJ26" s="19"/>
      <c r="AK26" s="19"/>
      <c r="AL26" s="19"/>
      <c r="AM26" s="19"/>
      <c r="AN26" s="19"/>
      <c r="AO26" s="19"/>
      <c r="AP26" s="19"/>
      <c r="AQ26" s="19"/>
      <c r="AR26" s="19"/>
      <c r="AS26" s="19"/>
    </row>
    <row r="27" spans="1:45" x14ac:dyDescent="0.25">
      <c r="A27" t="s">
        <v>47</v>
      </c>
      <c r="B27" s="19">
        <f>SUM(D10,D12,D15,D17)</f>
        <v>1113000</v>
      </c>
      <c r="C27" s="14"/>
      <c r="D27" s="15"/>
      <c r="E27" s="20"/>
      <c r="F27" s="23"/>
      <c r="G27" s="15"/>
      <c r="H27" s="20"/>
      <c r="I27" s="22"/>
      <c r="J27" s="15"/>
      <c r="K27" s="20"/>
      <c r="N27" s="20"/>
      <c r="O27" s="22"/>
      <c r="P27" s="15"/>
      <c r="Q27" s="20"/>
      <c r="R27" s="22"/>
      <c r="S27" s="15"/>
      <c r="T27" s="20"/>
      <c r="U27" s="19"/>
      <c r="V27" s="19"/>
      <c r="W27" s="19"/>
      <c r="X27" s="22"/>
      <c r="Y27" s="15"/>
      <c r="Z27" s="20"/>
      <c r="AA27" s="19"/>
      <c r="AB27" s="19"/>
      <c r="AC27" s="19"/>
      <c r="AD27" s="19"/>
      <c r="AE27" s="19"/>
      <c r="AF27" s="19"/>
      <c r="AG27" s="22"/>
      <c r="AH27" s="15"/>
      <c r="AI27" s="20"/>
      <c r="AJ27" s="19"/>
      <c r="AK27" s="19"/>
      <c r="AL27" s="19"/>
      <c r="AM27" s="19"/>
      <c r="AN27" s="19"/>
      <c r="AO27" s="19"/>
      <c r="AP27" s="19"/>
      <c r="AQ27" s="19"/>
      <c r="AR27" s="19"/>
      <c r="AS27" s="19"/>
    </row>
    <row r="28" spans="1:45" x14ac:dyDescent="0.25">
      <c r="A28" t="s">
        <v>48</v>
      </c>
      <c r="B28" s="19">
        <f>SUM(D11,D13,D14,D16,D18,D19:D23)</f>
        <v>864750</v>
      </c>
      <c r="C28" s="14"/>
      <c r="D28" s="15"/>
      <c r="E28" s="20"/>
      <c r="F28" s="23"/>
      <c r="G28" s="15"/>
      <c r="H28" s="20"/>
      <c r="I28" s="22"/>
      <c r="J28" s="15"/>
      <c r="K28" s="20"/>
      <c r="N28" s="20"/>
      <c r="O28" s="22"/>
      <c r="P28" s="15"/>
      <c r="Q28" s="20"/>
      <c r="R28" s="22"/>
      <c r="S28" s="15"/>
      <c r="T28" s="20"/>
      <c r="U28" s="19"/>
      <c r="V28" s="19"/>
      <c r="W28" s="19"/>
      <c r="X28" s="22"/>
      <c r="Y28" s="15"/>
      <c r="Z28" s="20"/>
      <c r="AA28" s="19"/>
      <c r="AB28" s="19"/>
      <c r="AC28" s="19"/>
      <c r="AD28" s="19"/>
      <c r="AE28" s="19"/>
      <c r="AF28" s="19"/>
      <c r="AG28" s="22"/>
      <c r="AH28" s="15"/>
      <c r="AI28" s="20"/>
      <c r="AJ28" s="19"/>
      <c r="AK28" s="19"/>
      <c r="AL28" s="19"/>
      <c r="AM28" s="19"/>
      <c r="AN28" s="19"/>
      <c r="AO28" s="19"/>
      <c r="AP28" s="19"/>
      <c r="AQ28" s="19"/>
      <c r="AR28" s="19"/>
      <c r="AS28" s="19"/>
    </row>
    <row r="29" spans="1:45" x14ac:dyDescent="0.25">
      <c r="B29" s="13"/>
      <c r="C29" s="14"/>
      <c r="D29" s="15"/>
      <c r="E29" s="20"/>
      <c r="F29" s="23"/>
      <c r="G29" s="15"/>
      <c r="H29" s="20"/>
      <c r="I29" s="22"/>
      <c r="J29" s="15"/>
      <c r="K29" s="20"/>
      <c r="N29" s="20"/>
      <c r="O29" s="22"/>
      <c r="P29" s="15"/>
      <c r="Q29" s="20"/>
      <c r="R29" s="22"/>
      <c r="S29" s="15"/>
      <c r="T29" s="20"/>
      <c r="U29" s="19"/>
      <c r="V29" s="19"/>
      <c r="W29" s="19"/>
      <c r="X29" s="22"/>
      <c r="Y29" s="15"/>
      <c r="Z29" s="20"/>
      <c r="AA29" s="19"/>
      <c r="AB29" s="19"/>
      <c r="AC29" s="19"/>
      <c r="AD29" s="19"/>
      <c r="AE29" s="19"/>
      <c r="AF29" s="19"/>
      <c r="AG29" s="22"/>
      <c r="AH29" s="15"/>
      <c r="AI29" s="20"/>
      <c r="AJ29" s="19"/>
      <c r="AK29" s="19"/>
      <c r="AL29" s="19"/>
      <c r="AM29" s="19"/>
      <c r="AN29" s="19"/>
      <c r="AO29" s="19"/>
      <c r="AP29" s="19"/>
      <c r="AQ29" s="19"/>
      <c r="AR29" s="19"/>
      <c r="AS29" s="19"/>
    </row>
    <row r="30" spans="1:45" x14ac:dyDescent="0.25">
      <c r="A30" t="s">
        <v>49</v>
      </c>
      <c r="B30" s="19">
        <f>SUM(D10:D13)</f>
        <v>273750</v>
      </c>
      <c r="C30" s="14"/>
      <c r="D30" s="15"/>
      <c r="E30" s="20"/>
      <c r="F30" s="23"/>
      <c r="G30" s="15"/>
      <c r="H30" s="20"/>
      <c r="I30" s="22"/>
      <c r="J30" s="15"/>
      <c r="K30" s="20"/>
      <c r="N30" s="20"/>
      <c r="O30" s="22"/>
      <c r="P30" s="15"/>
      <c r="Q30" s="20"/>
      <c r="R30" s="22"/>
      <c r="S30" s="15"/>
      <c r="T30" s="20"/>
      <c r="U30" s="19"/>
      <c r="V30" s="19"/>
      <c r="W30" s="19"/>
      <c r="X30" s="22"/>
      <c r="Y30" s="15"/>
      <c r="Z30" s="20"/>
      <c r="AA30" s="19"/>
      <c r="AB30" s="19"/>
      <c r="AC30" s="19"/>
      <c r="AD30" s="19"/>
      <c r="AE30" s="19"/>
      <c r="AF30" s="19"/>
      <c r="AG30" s="22"/>
      <c r="AH30" s="15"/>
      <c r="AI30" s="20"/>
      <c r="AJ30" s="19"/>
      <c r="AK30" s="19"/>
      <c r="AL30" s="19"/>
      <c r="AM30" s="19"/>
      <c r="AN30" s="19"/>
      <c r="AO30" s="19"/>
      <c r="AP30" s="19"/>
      <c r="AQ30" s="19"/>
      <c r="AR30" s="19"/>
      <c r="AS30" s="19"/>
    </row>
    <row r="31" spans="1:45" x14ac:dyDescent="0.25">
      <c r="A31" t="s">
        <v>50</v>
      </c>
      <c r="B31" s="19">
        <f>SUM(D19:D23)</f>
        <v>369749.99999999994</v>
      </c>
      <c r="C31" s="14"/>
      <c r="D31" s="15"/>
      <c r="E31" s="20"/>
      <c r="F31" s="23"/>
      <c r="G31" s="15"/>
      <c r="H31" s="20"/>
      <c r="I31" s="22"/>
      <c r="J31" s="15"/>
      <c r="K31" s="20"/>
      <c r="N31" s="20"/>
      <c r="O31" s="22"/>
      <c r="P31" s="15"/>
      <c r="Q31" s="20"/>
      <c r="R31" s="22"/>
      <c r="S31" s="15"/>
      <c r="T31" s="20"/>
      <c r="U31" s="19"/>
      <c r="V31" s="19"/>
      <c r="W31" s="19"/>
      <c r="X31" s="22"/>
      <c r="Y31" s="15"/>
      <c r="Z31" s="20"/>
      <c r="AA31" s="19"/>
      <c r="AB31" s="19"/>
      <c r="AC31" s="19"/>
      <c r="AD31" s="19"/>
      <c r="AE31" s="19"/>
      <c r="AF31" s="19"/>
      <c r="AG31" s="22"/>
      <c r="AH31" s="15"/>
      <c r="AI31" s="20"/>
      <c r="AJ31" s="19"/>
      <c r="AK31" s="19"/>
      <c r="AL31" s="19"/>
      <c r="AM31" s="19"/>
      <c r="AN31" s="19"/>
      <c r="AO31" s="19"/>
      <c r="AP31" s="19"/>
      <c r="AQ31" s="19"/>
      <c r="AR31" s="19"/>
      <c r="AS31" s="19"/>
    </row>
    <row r="32" spans="1:45" x14ac:dyDescent="0.25">
      <c r="A32" t="s">
        <v>51</v>
      </c>
      <c r="B32" s="19">
        <f>SUM(D14:D18)</f>
        <v>1334250</v>
      </c>
      <c r="C32" s="14"/>
      <c r="D32" s="15"/>
      <c r="E32" s="20"/>
      <c r="F32" s="23"/>
      <c r="G32" s="15"/>
      <c r="H32" s="20"/>
      <c r="I32" s="22"/>
      <c r="J32" s="15"/>
      <c r="K32" s="20"/>
      <c r="L32" s="22"/>
      <c r="M32" s="15"/>
      <c r="N32" s="20"/>
      <c r="O32" s="22"/>
      <c r="P32" s="15"/>
      <c r="Q32" s="20"/>
      <c r="R32" s="22"/>
      <c r="S32" s="15"/>
      <c r="T32" s="20"/>
      <c r="U32" s="19"/>
      <c r="V32" s="19"/>
      <c r="W32" s="19"/>
      <c r="X32" s="22"/>
      <c r="Y32" s="15"/>
      <c r="Z32" s="20"/>
      <c r="AA32" s="19"/>
      <c r="AB32" s="19"/>
      <c r="AC32" s="19"/>
      <c r="AD32" s="19"/>
      <c r="AE32" s="19"/>
      <c r="AF32" s="19"/>
      <c r="AG32" s="22"/>
      <c r="AH32" s="15"/>
      <c r="AI32" s="20"/>
      <c r="AJ32" s="19"/>
      <c r="AK32" s="19"/>
      <c r="AL32" s="19"/>
      <c r="AM32" s="19"/>
      <c r="AN32" s="19"/>
      <c r="AO32" s="19"/>
      <c r="AP32" s="19"/>
      <c r="AQ32" s="19"/>
      <c r="AR32" s="19"/>
      <c r="AS32" s="19"/>
    </row>
    <row r="33" spans="2:45" x14ac:dyDescent="0.25">
      <c r="B33" s="13"/>
      <c r="C33" s="14"/>
      <c r="D33" s="15"/>
      <c r="E33" s="20"/>
      <c r="F33" s="23"/>
      <c r="G33" s="15"/>
      <c r="H33" s="20"/>
      <c r="I33" s="22"/>
      <c r="J33" s="15"/>
      <c r="K33" s="20"/>
      <c r="L33" s="22"/>
      <c r="M33" s="15"/>
      <c r="N33" s="20"/>
      <c r="O33" s="22"/>
      <c r="P33" s="15"/>
      <c r="Q33" s="20"/>
      <c r="R33" s="22"/>
      <c r="S33" s="15"/>
      <c r="T33" s="20"/>
      <c r="U33" s="19"/>
      <c r="V33" s="19"/>
      <c r="W33" s="19"/>
      <c r="X33" s="22"/>
      <c r="Y33" s="15"/>
      <c r="Z33" s="20"/>
      <c r="AA33" s="19"/>
      <c r="AB33" s="19"/>
      <c r="AC33" s="19"/>
      <c r="AD33" s="19"/>
      <c r="AE33" s="19"/>
      <c r="AF33" s="19"/>
      <c r="AG33" s="22"/>
      <c r="AH33" s="15"/>
      <c r="AI33" s="20"/>
      <c r="AJ33" s="19"/>
      <c r="AK33" s="19"/>
      <c r="AL33" s="19"/>
      <c r="AM33" s="19"/>
      <c r="AN33" s="19"/>
      <c r="AO33" s="19"/>
      <c r="AP33" s="19"/>
      <c r="AQ33" s="19"/>
      <c r="AR33" s="19"/>
      <c r="AS33" s="19"/>
    </row>
    <row r="34" spans="2:45" x14ac:dyDescent="0.25">
      <c r="B34" t="s">
        <v>56</v>
      </c>
      <c r="C34" s="24"/>
      <c r="D34" s="15">
        <f>AVERAGE(D11,D13,D14,D16,D18,D19)</f>
        <v>143125</v>
      </c>
      <c r="E34" s="20"/>
      <c r="F34" s="8"/>
      <c r="G34" s="17"/>
      <c r="H34" s="16"/>
      <c r="I34" s="22"/>
      <c r="J34" s="15">
        <f>AVERAGE(J11,J13,J15,J16,J18,J20:J21)</f>
        <v>120773.86904761904</v>
      </c>
      <c r="K34" s="20"/>
      <c r="L34" s="8"/>
      <c r="M34" s="15"/>
      <c r="N34" s="20"/>
      <c r="O34" s="8"/>
      <c r="P34" s="15"/>
      <c r="Q34" s="20"/>
      <c r="R34" s="8"/>
      <c r="S34" s="15"/>
      <c r="T34" s="20"/>
      <c r="X34" s="8"/>
      <c r="Y34" s="15"/>
      <c r="Z34" s="20"/>
    </row>
    <row r="35" spans="2:45" s="12" customFormat="1" x14ac:dyDescent="0.25">
      <c r="B35" s="12" t="s">
        <v>55</v>
      </c>
      <c r="C35" s="25"/>
      <c r="D35" s="26">
        <f>AVERAGE((D10),(D12),(D14),(D15),(D17),D19)</f>
        <v>323625</v>
      </c>
      <c r="E35" s="25"/>
      <c r="F35" s="28"/>
      <c r="G35" s="26">
        <f>AVERAGE(G20:G24)</f>
        <v>505270</v>
      </c>
      <c r="H35" s="27"/>
      <c r="I35" s="25"/>
      <c r="J35" s="26">
        <f>AVERAGE((J10),(J12),(J14),J16,(J17),(J19+J20),J21)</f>
        <v>394334.52380952385</v>
      </c>
      <c r="K35" s="27"/>
      <c r="L35" s="28"/>
      <c r="M35" s="26"/>
      <c r="N35" s="27"/>
      <c r="O35" s="28"/>
      <c r="P35" s="26"/>
      <c r="Q35" s="27"/>
      <c r="R35" s="28"/>
      <c r="S35" s="26"/>
      <c r="T35" s="27"/>
      <c r="X35" s="28"/>
      <c r="Y35" s="26"/>
      <c r="Z35" s="27"/>
    </row>
    <row r="36" spans="2:45" x14ac:dyDescent="0.25">
      <c r="B36" t="s">
        <v>52</v>
      </c>
      <c r="C36">
        <v>10</v>
      </c>
      <c r="D36" s="19"/>
      <c r="F36">
        <v>5</v>
      </c>
      <c r="I36">
        <v>7</v>
      </c>
    </row>
    <row r="37" spans="2:45" x14ac:dyDescent="0.25">
      <c r="B37" t="s">
        <v>53</v>
      </c>
      <c r="C37">
        <v>2</v>
      </c>
      <c r="F37">
        <v>1</v>
      </c>
      <c r="I37">
        <v>2</v>
      </c>
    </row>
    <row r="39" spans="2:45" x14ac:dyDescent="0.25">
      <c r="C39" t="s">
        <v>54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2014-07-14T16:54:34Z</dcterms:created>
  <dcterms:modified xsi:type="dcterms:W3CDTF">2014-07-14T19:45:50Z</dcterms:modified>
</cp:coreProperties>
</file>